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 Corrente Líquida" sheetId="1" r:id="rId1"/>
  </sheets>
  <definedNames>
    <definedName name="_xlnm.Print_Area" localSheetId="0">'Receita Corrente Líquida'!$A$1:$O$56</definedName>
    <definedName name="Excel_BuiltIn_Print_Area" localSheetId="0">'Receita Corrente Líquida'!$A$1:$O$56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9"/>
            <color indexed="8"/>
            <rFont val="Tahoma"/>
            <family val="2"/>
          </rPr>
          <t>Este valor deve ser o mesmo do valor bo balancete da receita sem as deduções.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>Coloco o valor de todo o imposto de renda  grupo 1112.04 e diminuo os grupos 11120431.01 e 11120431.02 que se referem ao IRRF sobre trabalho do exec. e legisl.</t>
        </r>
      </text>
    </comment>
    <comment ref="A17" authorId="0">
      <text>
        <r>
          <rPr>
            <b/>
            <sz val="9"/>
            <color indexed="8"/>
            <rFont val="Tahoma"/>
            <family val="2"/>
          </rPr>
          <t xml:space="preserve">Pego o valor total da receita tributaria do balancete sem as deduções e diminuo  os valores das celulas M12 M13 M14 e M15
</t>
        </r>
      </text>
    </comment>
    <comment ref="A25" authorId="0">
      <text>
        <r>
          <rPr>
            <sz val="9"/>
            <color indexed="8"/>
            <rFont val="Tahoma"/>
            <family val="2"/>
          </rPr>
          <t xml:space="preserve">Este valor deve fechar com o valor do grupo 1700 menos as deduções deste grupo
17
</t>
        </r>
      </text>
    </comment>
    <comment ref="A26" authorId="0">
      <text>
        <r>
          <rPr>
            <sz val="9"/>
            <color indexed="8"/>
            <rFont val="Tahoma"/>
            <family val="2"/>
          </rPr>
          <t xml:space="preserve">devem ser feito pelo balancete da receita com as deduções em separado pelo relatório
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>devem ser feito pelo balancete da receita com as deduções em separado pelo relatório</t>
        </r>
      </text>
    </comment>
    <comment ref="A28" authorId="0">
      <text>
        <r>
          <rPr>
            <sz val="9"/>
            <color indexed="8"/>
            <rFont val="Tahoma"/>
            <family val="2"/>
          </rPr>
          <t xml:space="preserve">devem ser feito pelo balancete da receita com as deduções em separado pelo relatório
 e após verificar se teve desconto por restituição e diminuir o desconto
</t>
        </r>
      </text>
    </comment>
    <comment ref="A29" authorId="0">
      <text>
        <r>
          <rPr>
            <sz val="9"/>
            <color indexed="8"/>
            <rFont val="Tahoma"/>
            <family val="2"/>
          </rPr>
          <t xml:space="preserve">devem ser feito pelo balancete da receita com as deduções em separado pelo relatório
</t>
        </r>
      </text>
    </comment>
    <comment ref="A30" authorId="0">
      <text>
        <r>
          <rPr>
            <sz val="9"/>
            <color indexed="8"/>
            <rFont val="Tahoma"/>
            <family val="2"/>
          </rPr>
          <t xml:space="preserve">devem ser feito pelo balancete da receita com as deduções em separado pelo relatório
</t>
        </r>
      </text>
    </comment>
    <comment ref="A31" authorId="0">
      <text>
        <r>
          <rPr>
            <sz val="9"/>
            <color indexed="8"/>
            <rFont val="Tahoma"/>
            <family val="2"/>
          </rPr>
          <t>devem ser feito pelo balancete da receita com as deduções em separado pelo relatório</t>
        </r>
      </text>
    </comment>
    <comment ref="A32" authorId="0">
      <text>
        <r>
          <rPr>
            <sz val="9"/>
            <color indexed="8"/>
            <rFont val="Tahoma"/>
            <family val="2"/>
          </rPr>
          <t xml:space="preserve">Pego o valor total das Transferencias Correntes do balancete com as deduções em separado e diminuo  os valores das celulas m22, m23 m24 m25 m26 m27 m28.
e diminuo o valor do desconto do IPVA por restituição se tiver.
</t>
        </r>
      </text>
    </comment>
    <comment ref="A33" authorId="0">
      <text>
        <r>
          <rPr>
            <sz val="9"/>
            <color indexed="8"/>
            <rFont val="Tahoma"/>
            <family val="2"/>
          </rPr>
          <t xml:space="preserve">Fechar com o valor da conta do grupo 1900. Do balancete sem as deduções em separado.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>colocar o valor do grupo da dedução da rec para formação do fundeb... Do balancete da rec com as deduções em separado</t>
        </r>
      </text>
    </comment>
    <comment ref="O9" authorId="0">
      <text>
        <r>
          <rPr>
            <sz val="10"/>
            <rFont val="Arial"/>
            <family val="2"/>
          </rPr>
          <t>Líquido (desmarcar caixinha)
Partes em vermelho - Bruta</t>
        </r>
      </text>
    </comment>
  </commentList>
</comments>
</file>

<file path=xl/sharedStrings.xml><?xml version="1.0" encoding="utf-8"?>
<sst xmlns="http://schemas.openxmlformats.org/spreadsheetml/2006/main" count="101" uniqueCount="101">
  <si>
    <t>Prefeitura Municipal Santa Maria - RS</t>
  </si>
  <si>
    <t>Relatório Resumido da Execução Orçamentária</t>
  </si>
  <si>
    <t>Demonstrativo da Receita Corrente Líquida</t>
  </si>
  <si>
    <t>Orçamentos Fiscal e da Seguridade Social</t>
  </si>
  <si>
    <t>Maio/22 a Abril/2023 - Bimestre Março-Abril de 2023</t>
  </si>
  <si>
    <t>RREO – Anexo 3 (LRF, Art. 53, Inciso I)</t>
  </si>
  <si>
    <t>ESPECIFICAÇÃO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</si>
  <si>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</si>
  <si>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</si>
  <si>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</si>
  <si>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</si>
  <si>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</si>
  <si>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</si>
  <si>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</si>
  <si>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</si>
  <si>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01/2023</t>
  </si>
  <si>
    <t>02/2023</t>
  </si>
  <si>
    <t>03/2023</t>
  </si>
  <si>
    <t>04/2023</t>
  </si>
  <si>
    <t xml:space="preserve">     TOTAL     (Últimos 12 meses)</t>
  </si>
  <si>
    <t>PREVISÃO ATUALIZADA 2023</t>
  </si>
  <si>
    <t>RECEITAS CORRENTES (I)</t>
  </si>
  <si>
    <t>Impostos, Taxas e Contribuições de Melhoria</t>
  </si>
  <si>
    <t xml:space="preserve">   IPTU</t>
  </si>
  <si>
    <t xml:space="preserve">   ISS</t>
  </si>
  <si>
    <t xml:space="preserve">   ITBI</t>
  </si>
  <si>
    <t xml:space="preserve">   IRRF</t>
  </si>
  <si>
    <t xml:space="preserve">   Outros Impostos, Taxas e Contribuições de Melhoria</t>
  </si>
  <si>
    <t>Contribuições</t>
  </si>
  <si>
    <t>1.2</t>
  </si>
  <si>
    <t>Receita Patrimonial</t>
  </si>
  <si>
    <t xml:space="preserve">   Rendimentos de Aplicação Financeira</t>
  </si>
  <si>
    <t>1.3.2 Valores Mobiliários</t>
  </si>
  <si>
    <t xml:space="preserve">   Outras Receitas Patrimoniais</t>
  </si>
  <si>
    <t>1.3.1 +1.3.6</t>
  </si>
  <si>
    <t>Receita Agropecuária</t>
  </si>
  <si>
    <t>Receita Industrial</t>
  </si>
  <si>
    <t>Receita Serviços</t>
  </si>
  <si>
    <t>Transferências Correntes</t>
  </si>
  <si>
    <t xml:space="preserve">   Cota-Parte do FPM</t>
  </si>
  <si>
    <t>CONFERÊNCIA DA RECEITA CORRENTE LÍQUIDA</t>
  </si>
  <si>
    <t xml:space="preserve">   Cota-Parte do ICMS</t>
  </si>
  <si>
    <t>01/23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</si>
  <si>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</si>
  <si>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</si>
  <si>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</si>
  <si>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</si>
  <si>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</si>
  <si>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</si>
  <si>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</si>
  <si>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</si>
  <si>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</si>
  <si>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</si>
  <si>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</si>
  <si>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 xml:space="preserve">   Cota-Parte do IPVA</t>
  </si>
  <si>
    <t>total liquido (inclusive as rec. intra)</t>
  </si>
  <si>
    <t xml:space="preserve">   Cota-Parte do ITR</t>
  </si>
  <si>
    <t>irf</t>
  </si>
  <si>
    <t xml:space="preserve">   Transferências da LC 61/1989</t>
  </si>
  <si>
    <t>Capital Líquida</t>
  </si>
  <si>
    <t xml:space="preserve">   Transferências do FUNDEB</t>
  </si>
  <si>
    <t>intra liq (grupo 7)</t>
  </si>
  <si>
    <t xml:space="preserve">   Outras Transferências Correntes</t>
  </si>
  <si>
    <t>ipassp liq-1.9.9.0.99.1.1.03-1.9.2.8.01-1.9.2.8.02-1738</t>
  </si>
  <si>
    <t>Outras Receitas Correntes</t>
  </si>
  <si>
    <t xml:space="preserve">Grupo 1.9 </t>
  </si>
  <si>
    <t>DEDUÇÕES (II)</t>
  </si>
  <si>
    <r>
      <rPr>
        <sz val="9"/>
        <color indexed="8"/>
        <rFont val="Arial Unicode MS"/>
        <family val="2"/>
      </rPr>
      <t xml:space="preserve">   </t>
    </r>
    <r>
      <rPr>
        <sz val="9"/>
        <color indexed="8"/>
        <rFont val="Arial"/>
        <family val="2"/>
      </rPr>
      <t>Contrib. Do Servidor para o Plano de Previdência</t>
    </r>
  </si>
  <si>
    <t>1.2.1.5</t>
  </si>
  <si>
    <r>
      <rPr>
        <sz val="7.55"/>
        <color indexed="8"/>
        <rFont val="Arial Unicode MS"/>
        <family val="2"/>
      </rPr>
      <t xml:space="preserve">   </t>
    </r>
    <r>
      <rPr>
        <sz val="9"/>
        <color indexed="8"/>
        <rFont val="Arial"/>
        <family val="2"/>
      </rPr>
      <t xml:space="preserve">Compensação Financ. entre Regimes Previdência </t>
    </r>
  </si>
  <si>
    <t>1.9.9.9.03 (Compensação financeira)</t>
  </si>
  <si>
    <t>ACE Rec. 155</t>
  </si>
  <si>
    <t>ACE/ACS</t>
  </si>
  <si>
    <r>
      <rPr>
        <sz val="7.55"/>
        <color indexed="8"/>
        <rFont val="Arial Unicode MS"/>
        <family val="2"/>
      </rPr>
      <t xml:space="preserve">   </t>
    </r>
    <r>
      <rPr>
        <sz val="9"/>
        <color indexed="8"/>
        <rFont val="Arial"/>
        <family val="2"/>
      </rPr>
      <t>Rendimentos de Aplicações de Recursos Previdenciários</t>
    </r>
  </si>
  <si>
    <t>1.3.2.1.04 (Inclusão desta linha de acordo com as regras Gerais e Instruções de Preenchimento do RREO 2022)</t>
  </si>
  <si>
    <t xml:space="preserve">   Dedução de Receita p/Formação do FUNDEB</t>
  </si>
  <si>
    <t xml:space="preserve"> RECEITA CORRENTE LÍQUIDA (III) = (I-II)</t>
  </si>
  <si>
    <t>#Este modelo de demonstrativo está de acordo com o MDF 2023#</t>
  </si>
  <si>
    <t>(-) Transferências obrigatórias da União relativas às emendas individuais (art. 166-A, § 1º da CF) (IV)</t>
  </si>
  <si>
    <r>
      <rPr>
        <sz val="9"/>
        <color indexed="8"/>
        <rFont val="Arial"/>
        <family val="1"/>
      </rPr>
      <t xml:space="preserve">3110 – 3140 </t>
    </r>
    <r>
      <rPr>
        <b/>
        <sz val="12"/>
        <color indexed="10"/>
        <rFont val="Arial"/>
        <family val="1"/>
      </rPr>
      <t>(Ver o que é corrente)</t>
    </r>
  </si>
  <si>
    <t>RECEITA CORRENTE LÍQUIDA AJUSTADA PARA CÁLCULO DOS LIMITES DE ENDIVIDAMENTO (V) = (III – IV)</t>
  </si>
  <si>
    <t>(-) Transferências obrigatórias da União relativas às emendas de bancada (art. 166, § 16 da CF) e ao vencimento dos agentes comunitários de saúde e de combate às endemias (CF, art. 198, §11) (VI)</t>
  </si>
  <si>
    <t>3120 – 3150</t>
  </si>
  <si>
    <t>Deduzir FR 604 (ACE 155 e ACS 154): Esta linha foi alterada pela Portaria STN/MF 288 de 27 de abril de 2023</t>
  </si>
  <si>
    <t>RECEITA CORRENTE LÍQUIDA AJUSTADA PARA CÁLCULO DOS LIMITES DE DA DESPESA COM PESSOAL (VII) = (V – VI)</t>
  </si>
  <si>
    <t>conferir valor de emendas no relatório: relatório. Demonstr. Gerencias. Fonte de recurso. Comparativo. 3110 e 3150...</t>
  </si>
  <si>
    <t xml:space="preserve">Nota: Com a Portaria STN/MF nº 288 de 27 de abril de 2023 alterou o cálculo da Receita Corrente Líquida Ajustada para Limites da Despesa com Pessoal de modo a evidenciar a exclusão de tais transferências. Neste sentido, a linha de dedução “(-) transferências obrigatórias da União relativas às emendas de bancada (art. 166 § 16 da CF) foi alterada para “(-) Transferências obrigatórias da União relativas às emendas de bancada (art. 166, § 16 da CF) e ao vencimento dos agentes </t>
  </si>
  <si>
    <t>comunitários de saúde e de combate às endemias (CF, art. 198,  11). Desta forma o presente demonstrativo traz os valores dos vencimentos dos agentes comunitários de saúde e de combate às endemias evidenciados diferentemente do demonstrativo do 1º bimestre, pois a alteração em tela data de 27 de abril de 2023.</t>
  </si>
  <si>
    <t>Diferenças entre SICONFI e  TCE:</t>
  </si>
  <si>
    <t>A partir de 2023 a única diferença será a receita do ACE e ACS que a STN não deduz.</t>
  </si>
  <si>
    <t xml:space="preserve">    Greice Pivetta                                                          Clairton Rodrigues da Motta                                               Michele Vargas Antonello                                                     Jorge Cladistone Pozzobom</t>
  </si>
  <si>
    <t xml:space="preserve">  Cont. CRC55075                                                  Superintendente de Controle Interno                                         Secretária Munic. Finanças                                                          Prefeito Municipal</t>
  </si>
  <si>
    <t>ITENS DE VERIFICAÇÃO DO RANKING:</t>
  </si>
  <si>
    <t xml:space="preserve">CPF 571.017.950-72                                                         CPF 501.690.410-34                                                         CPF 975.675.310-20                                                               CPF 484.930.070-72 </t>
  </si>
  <si>
    <t>1. Conferir os totais de cada dedução com o total do balancete até o período.</t>
  </si>
  <si>
    <t>2. Conferir o total da RCL com os anexos: 1, 2, 3 e 4 do RGF</t>
  </si>
  <si>
    <t>3. Conferir o valor das emendas (individual e de bancada) deste anexo com o anexo 1 do RGF</t>
  </si>
  <si>
    <t>4. Conferir o valor das receitas municipais com tributos (IPTU, ISS, ITBI, IRRF) deste anexo com o anexo I-C da DCA</t>
  </si>
  <si>
    <t>5. Conferir se os valores das transf. Munic. (Cotas parte FPM, ICMS, IPVA, ITR e Fundeb) deste relatório são iguais ao Anexo I-C da DCA</t>
  </si>
  <si>
    <t>Partes em preto - preenche com a consolidada líquida (Desmarcar caixinhas das deduções)</t>
  </si>
  <si>
    <t>Partes em vermelho - preecnhe com a consolidada bruta (deixar marcado a caixinha)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</si>
</sst>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yy"/>
    <numFmt numFmtId="167" formatCode="#,##0.00"/>
    <numFmt numFmtId="168" formatCode="#,##0.00;[RED]#,##0.00"/>
    <numFmt numFmtId="169" formatCode="#,##0.00;\-#,##0.00"/>
    <numFmt numFmtId="170" formatCode="_-* #,##0.00&quot; R$&quot;_-;\-* #,##0.00&quot; R$&quot;_-;_-* \-??&quot; R$&quot;_-;_-@_-"/>
  </numFmts>
  <fonts count="24">
    <font>
      <sz val="10"/>
      <name val="Arial"/>
      <family val="2"/>
    </font>
    <font>
      <sz val="9"/>
      <color indexed="8"/>
      <name val="Arial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1"/>
    </font>
    <font>
      <b/>
      <sz val="10"/>
      <name val="Arial"/>
      <family val="1"/>
    </font>
    <font>
      <b/>
      <sz val="9"/>
      <color indexed="60"/>
      <name val="Arial"/>
      <family val="2"/>
    </font>
    <font>
      <sz val="9"/>
      <color indexed="53"/>
      <name val="Arial"/>
      <family val="1"/>
    </font>
    <font>
      <sz val="10"/>
      <color indexed="53"/>
      <name val="Arial"/>
      <family val="2"/>
    </font>
    <font>
      <sz val="9"/>
      <color indexed="8"/>
      <name val="Arial Unicode MS"/>
      <family val="2"/>
    </font>
    <font>
      <sz val="7.55"/>
      <color indexed="8"/>
      <name val="Arial Unicode MS"/>
      <family val="2"/>
    </font>
    <font>
      <b/>
      <sz val="12"/>
      <color indexed="10"/>
      <name val="Arial"/>
      <family val="1"/>
    </font>
    <font>
      <sz val="6.55"/>
      <color indexed="8"/>
      <name val="Arial"/>
      <family val="2"/>
    </font>
    <font>
      <b/>
      <sz val="9"/>
      <color indexed="8"/>
      <name val="Arial"/>
      <family val="2"/>
    </font>
    <font>
      <sz val="6.6"/>
      <color indexed="8"/>
      <name val="Arial"/>
      <family val="2"/>
    </font>
    <font>
      <sz val="10"/>
      <color indexed="8"/>
      <name val="Lucida Console"/>
      <family val="3"/>
    </font>
    <font>
      <sz val="11"/>
      <name val="Arial"/>
      <family val="2"/>
    </font>
    <font>
      <sz val="11"/>
      <color indexed="8"/>
      <name val="Lucida Console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/>
    </xf>
    <xf numFmtId="167" fontId="6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1" fillId="0" borderId="0" xfId="0" applyFont="1" applyAlignment="1">
      <alignment/>
    </xf>
    <xf numFmtId="168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1" fillId="3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right" vertical="center" wrapText="1"/>
    </xf>
    <xf numFmtId="168" fontId="1" fillId="3" borderId="0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 horizontal="left" vertical="top" wrapText="1"/>
    </xf>
    <xf numFmtId="164" fontId="0" fillId="0" borderId="0" xfId="0" applyFont="1" applyAlignment="1">
      <alignment horizontal="center"/>
    </xf>
    <xf numFmtId="164" fontId="1" fillId="3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1" xfId="0" applyNumberFormat="1" applyFont="1" applyFill="1" applyBorder="1" applyAlignment="1">
      <alignment wrapText="1"/>
    </xf>
    <xf numFmtId="167" fontId="5" fillId="0" borderId="1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5" fontId="1" fillId="0" borderId="0" xfId="0" applyNumberFormat="1" applyFont="1" applyFill="1" applyBorder="1" applyAlignment="1">
      <alignment/>
    </xf>
    <xf numFmtId="170" fontId="1" fillId="0" borderId="0" xfId="17" applyFont="1" applyFill="1" applyBorder="1" applyAlignment="1" applyProtection="1">
      <alignment/>
      <protection/>
    </xf>
    <xf numFmtId="167" fontId="6" fillId="0" borderId="1" xfId="0" applyNumberFormat="1" applyFont="1" applyFill="1" applyBorder="1" applyAlignment="1">
      <alignment horizontal="justify" vertical="center" wrapText="1"/>
    </xf>
    <xf numFmtId="170" fontId="1" fillId="0" borderId="0" xfId="17" applyFont="1" applyFill="1" applyBorder="1" applyAlignment="1" applyProtection="1">
      <alignment horizontal="center" vertical="center"/>
      <protection/>
    </xf>
    <xf numFmtId="167" fontId="5" fillId="0" borderId="0" xfId="0" applyNumberFormat="1" applyFont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right" vertical="center" wrapText="1"/>
    </xf>
    <xf numFmtId="168" fontId="16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/>
    </xf>
    <xf numFmtId="164" fontId="16" fillId="4" borderId="0" xfId="0" applyNumberFormat="1" applyFont="1" applyFill="1" applyBorder="1" applyAlignment="1">
      <alignment/>
    </xf>
    <xf numFmtId="170" fontId="1" fillId="4" borderId="0" xfId="17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>
      <alignment/>
    </xf>
    <xf numFmtId="164" fontId="18" fillId="0" borderId="0" xfId="0" applyFont="1" applyAlignment="1">
      <alignment horizontal="left" vertical="center" wrapText="1"/>
    </xf>
    <xf numFmtId="164" fontId="18" fillId="0" borderId="0" xfId="0" applyFont="1" applyFill="1" applyAlignment="1">
      <alignment horizontal="left" vertical="center" wrapText="1"/>
    </xf>
    <xf numFmtId="164" fontId="16" fillId="5" borderId="0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4" fontId="0" fillId="5" borderId="0" xfId="0" applyFont="1" applyFill="1" applyAlignment="1">
      <alignment/>
    </xf>
    <xf numFmtId="164" fontId="19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5" borderId="0" xfId="0" applyFont="1" applyFill="1" applyAlignment="1">
      <alignment horizontal="right"/>
    </xf>
    <xf numFmtId="167" fontId="0" fillId="5" borderId="0" xfId="0" applyNumberFormat="1" applyFont="1" applyFill="1" applyAlignment="1">
      <alignment/>
    </xf>
    <xf numFmtId="164" fontId="20" fillId="0" borderId="0" xfId="0" applyFont="1" applyFill="1" applyAlignment="1">
      <alignment horizontal="left" vertical="center" wrapText="1"/>
    </xf>
    <xf numFmtId="164" fontId="4" fillId="5" borderId="0" xfId="0" applyFont="1" applyFill="1" applyAlignment="1">
      <alignment horizontal="left" vertical="center"/>
    </xf>
    <xf numFmtId="164" fontId="20" fillId="5" borderId="0" xfId="0" applyFont="1" applyFill="1" applyAlignment="1">
      <alignment horizontal="left" vertical="center" wrapText="1"/>
    </xf>
    <xf numFmtId="164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83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7D1D5"/>
      <rgbColor rgb="003366FF"/>
      <rgbColor rgb="0033CCCC"/>
      <rgbColor rgb="0099CC00"/>
      <rgbColor rgb="00FFCC00"/>
      <rgbColor rgb="00FF9900"/>
      <rgbColor rgb="00FF5429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workbookViewId="0" topLeftCell="A22">
      <pane xSplit="1" topLeftCell="F22" activePane="topRight" state="frozen"/>
      <selection pane="topLeft" activeCell="A22" sqref="A22"/>
      <selection pane="topRight" activeCell="O44" sqref="O44"/>
    </sheetView>
  </sheetViews>
  <sheetFormatPr defaultColWidth="9.140625" defaultRowHeight="12.75" outlineLevelRow="1"/>
  <cols>
    <col min="1" max="1" width="48.140625" style="1" customWidth="1"/>
    <col min="2" max="14" width="16.8515625" style="2" customWidth="1"/>
    <col min="15" max="15" width="14.57421875" style="1" customWidth="1"/>
    <col min="16" max="16" width="14.8515625" style="1" customWidth="1"/>
    <col min="17" max="17" width="23.140625" style="1" customWidth="1"/>
    <col min="18" max="19" width="30.421875" style="1" customWidth="1"/>
    <col min="20" max="20" width="16.8515625" style="1" customWidth="1"/>
    <col min="21" max="21" width="15.8515625" style="1" customWidth="1"/>
    <col min="22" max="22" width="14.421875" style="1" customWidth="1"/>
    <col min="23" max="24" width="14.140625" style="1" customWidth="1"/>
    <col min="25" max="25" width="14.7109375" style="1" customWidth="1"/>
    <col min="26" max="26" width="13.7109375" style="1" customWidth="1"/>
    <col min="27" max="27" width="14.140625" style="1" customWidth="1"/>
    <col min="28" max="28" width="14.421875" style="1" customWidth="1"/>
    <col min="29" max="29" width="15.421875" style="1" customWidth="1"/>
    <col min="30" max="30" width="14.421875" style="1" customWidth="1"/>
    <col min="31" max="32" width="14.7109375" style="1" customWidth="1"/>
    <col min="33" max="33" width="13.421875" style="1" customWidth="1"/>
    <col min="34" max="16384" width="7.421875" style="1" customWidth="1"/>
  </cols>
  <sheetData>
    <row r="1" spans="1:19" s="4" customFormat="1" ht="14.2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</row>
    <row r="2" spans="1:19" s="4" customFormat="1" ht="16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</row>
    <row r="3" spans="1:19" s="4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</row>
    <row r="4" spans="1:19" s="4" customFormat="1" ht="18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s="4" customFormat="1" ht="18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1"/>
      <c r="R5" s="1"/>
      <c r="S5" s="1"/>
    </row>
    <row r="6" spans="1:19" s="4" customFormat="1" ht="18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1"/>
      <c r="R6" s="1"/>
      <c r="S6" s="1"/>
    </row>
    <row r="7" spans="1:19" s="4" customFormat="1" ht="12.7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/>
      <c r="O7" s="1"/>
      <c r="P7" s="1"/>
      <c r="Q7" s="1"/>
      <c r="R7" s="1"/>
      <c r="S7" s="1"/>
    </row>
    <row r="8" spans="1:15" s="4" customFormat="1" ht="12.75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/>
      <c r="O8" s="10"/>
    </row>
    <row r="9" spans="1:15" s="4" customFormat="1" ht="15.7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3" t="s">
        <v>19</v>
      </c>
      <c r="O9" s="14" t="s">
        <v>20</v>
      </c>
    </row>
    <row r="10" spans="1:15" s="4" customFormat="1" ht="21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/>
    </row>
    <row r="11" spans="1:16" s="4" customFormat="1" ht="12">
      <c r="A11" s="15" t="s">
        <v>21</v>
      </c>
      <c r="B11" s="16">
        <f>B12+B18+B19+B22+B23+B24+B25+B33</f>
        <v>86473279.2</v>
      </c>
      <c r="C11" s="16">
        <f>C12+C18+C19+C22+C23+C24+C25+C33</f>
        <v>73651309.35000001</v>
      </c>
      <c r="D11" s="16">
        <f>D12+D18+D19+D22+D23+D24+D25+D33</f>
        <v>75357884.42999999</v>
      </c>
      <c r="E11" s="16">
        <f>E12+E18+E19+E22+E23+E24+E25+E33</f>
        <v>77841006.69000001</v>
      </c>
      <c r="F11" s="16">
        <f>F12+F18+F19+F22+F23+F24+F25+F33</f>
        <v>69103176.83999999</v>
      </c>
      <c r="G11" s="16">
        <f>G12+G18+G19+G22+G23+G24+G25+G33</f>
        <v>77477516.24000001</v>
      </c>
      <c r="H11" s="16">
        <f>H12+H18+H19+H22+H23+H24+H25+H33</f>
        <v>67751552.38000001</v>
      </c>
      <c r="I11" s="16">
        <f>I12+I18+I19+I22+I23+I24+I25+I33</f>
        <v>105116728.11</v>
      </c>
      <c r="J11" s="16">
        <f>J12+J18+J19+J22+J23+J24+J25+J33</f>
        <v>104582056.1</v>
      </c>
      <c r="K11" s="16">
        <f>K12+K18+K19+K22+K23+K24+K25+K33</f>
        <v>103739433.74</v>
      </c>
      <c r="L11" s="16">
        <f>L12+L18+L19+L22+L23+L24+L25+L33</f>
        <v>74917260.19999999</v>
      </c>
      <c r="M11" s="16">
        <f>M12+M18+M19+M22+M23+M24+M25+M33</f>
        <v>82419872.21</v>
      </c>
      <c r="N11" s="16">
        <f>SUM(B11:M11)</f>
        <v>998431075.49</v>
      </c>
      <c r="O11" s="16">
        <f>O12+O18+O19+O22+O23+O24+O25+O33</f>
        <v>1017491992.23</v>
      </c>
      <c r="P11" s="17"/>
    </row>
    <row r="12" spans="1:18" s="4" customFormat="1" ht="12.75" customHeight="1">
      <c r="A12" s="18" t="s">
        <v>22</v>
      </c>
      <c r="B12" s="19">
        <f>B13+B14+B15+B16+B17</f>
        <v>20222694.46</v>
      </c>
      <c r="C12" s="19">
        <f>C13+C14+C15+C16+C17</f>
        <v>21259558.610000003</v>
      </c>
      <c r="D12" s="19">
        <f>D13+D14+D15+D16+D17</f>
        <v>21207908.01</v>
      </c>
      <c r="E12" s="19">
        <f>E13+E14+E15+E16+E17</f>
        <v>22052096.28</v>
      </c>
      <c r="F12" s="19">
        <f>F13+F14+F15+F16+F17</f>
        <v>22322606.7</v>
      </c>
      <c r="G12" s="19">
        <f>G13+G14+G15+G16+G17</f>
        <v>22037059.919999998</v>
      </c>
      <c r="H12" s="19">
        <f>H13+H14+H15+H16+H17</f>
        <v>21270365.29</v>
      </c>
      <c r="I12" s="19">
        <f>I13+I14+I15+I16+I17</f>
        <v>28510460.580000002</v>
      </c>
      <c r="J12" s="19">
        <f>J13+J14+J15+J16+J17</f>
        <v>31297433.009999998</v>
      </c>
      <c r="K12" s="19">
        <f>K13+K14+K15+K16+K17</f>
        <v>48981836.88</v>
      </c>
      <c r="L12" s="19">
        <f>L13+L14+L15+L16+L17</f>
        <v>22692457.33</v>
      </c>
      <c r="M12" s="19">
        <f>M13+M14+M15+M16+M17</f>
        <v>22036043.63</v>
      </c>
      <c r="N12" s="19">
        <f>N13+N14+N15+N16+N17</f>
        <v>303890520.7</v>
      </c>
      <c r="O12" s="19">
        <f>SUM(O13:O17)</f>
        <v>312265000</v>
      </c>
      <c r="P12" s="17"/>
      <c r="Q12" s="17"/>
      <c r="R12" s="17"/>
    </row>
    <row r="13" spans="1:18" s="4" customFormat="1" ht="12.75" customHeight="1">
      <c r="A13" s="18" t="s">
        <v>23</v>
      </c>
      <c r="B13" s="19">
        <v>3352647.78</v>
      </c>
      <c r="C13" s="19">
        <v>3232843.32</v>
      </c>
      <c r="D13" s="19">
        <v>3286314.37</v>
      </c>
      <c r="E13" s="19">
        <v>3463432.61</v>
      </c>
      <c r="F13" s="19">
        <v>3229887.43</v>
      </c>
      <c r="G13" s="19">
        <v>3267284.22</v>
      </c>
      <c r="H13" s="19">
        <v>2969026.41</v>
      </c>
      <c r="I13" s="19">
        <v>4309541.49</v>
      </c>
      <c r="J13" s="19">
        <v>8925607.59</v>
      </c>
      <c r="K13" s="19">
        <v>25775154.43</v>
      </c>
      <c r="L13" s="19">
        <v>3894864.29</v>
      </c>
      <c r="M13" s="19">
        <v>3461207.81</v>
      </c>
      <c r="N13" s="20">
        <f aca="true" t="shared" si="0" ref="N13:N18">SUM(B13:M13)</f>
        <v>69167811.75</v>
      </c>
      <c r="O13" s="19">
        <v>75638000</v>
      </c>
      <c r="P13" s="17"/>
      <c r="Q13" s="17"/>
      <c r="R13" s="17"/>
    </row>
    <row r="14" spans="1:18" s="4" customFormat="1" ht="12.75" customHeight="1">
      <c r="A14" s="18" t="s">
        <v>24</v>
      </c>
      <c r="B14" s="21">
        <v>8021506.71</v>
      </c>
      <c r="C14" s="21">
        <v>8445630.52</v>
      </c>
      <c r="D14" s="21">
        <v>8509831.4</v>
      </c>
      <c r="E14" s="21">
        <v>9011894.89</v>
      </c>
      <c r="F14" s="21">
        <v>9341903.31</v>
      </c>
      <c r="G14" s="21">
        <v>9567547.82</v>
      </c>
      <c r="H14" s="21">
        <v>9659853.89</v>
      </c>
      <c r="I14" s="21">
        <v>10202316.87</v>
      </c>
      <c r="J14" s="21">
        <v>10654209.48</v>
      </c>
      <c r="K14" s="21">
        <v>8205889.29</v>
      </c>
      <c r="L14" s="21">
        <v>8634984.11</v>
      </c>
      <c r="M14" s="21">
        <v>8862742.17</v>
      </c>
      <c r="N14" s="20">
        <f t="shared" si="0"/>
        <v>109118310.46000001</v>
      </c>
      <c r="O14" s="22">
        <v>110004000</v>
      </c>
      <c r="P14" s="17"/>
      <c r="Q14" s="17"/>
      <c r="R14" s="17"/>
    </row>
    <row r="15" spans="1:18" s="4" customFormat="1" ht="12.75" customHeight="1">
      <c r="A15" s="18" t="s">
        <v>25</v>
      </c>
      <c r="B15" s="19">
        <v>2225808.49</v>
      </c>
      <c r="C15" s="19">
        <v>3073427.57</v>
      </c>
      <c r="D15" s="19">
        <v>2927830.27</v>
      </c>
      <c r="E15" s="19">
        <v>3283310.28</v>
      </c>
      <c r="F15" s="19">
        <v>3234368.67</v>
      </c>
      <c r="G15" s="19">
        <v>2692155.94</v>
      </c>
      <c r="H15" s="19">
        <v>2346199.6</v>
      </c>
      <c r="I15" s="19">
        <v>2912048.99</v>
      </c>
      <c r="J15" s="19">
        <v>2430229.54</v>
      </c>
      <c r="K15" s="19">
        <v>1817308.54</v>
      </c>
      <c r="L15" s="19">
        <v>2725580.95</v>
      </c>
      <c r="M15" s="19">
        <v>3283395.48</v>
      </c>
      <c r="N15" s="20">
        <f t="shared" si="0"/>
        <v>32951664.32</v>
      </c>
      <c r="O15" s="19">
        <v>34670400</v>
      </c>
      <c r="P15" s="17"/>
      <c r="Q15" s="17"/>
      <c r="R15" s="17"/>
    </row>
    <row r="16" spans="1:18" s="4" customFormat="1" ht="12.75" customHeight="1">
      <c r="A16" s="18" t="s">
        <v>26</v>
      </c>
      <c r="B16" s="19">
        <v>4961918.41</v>
      </c>
      <c r="C16" s="19">
        <v>5079500.58</v>
      </c>
      <c r="D16" s="19">
        <v>4855382.28</v>
      </c>
      <c r="E16" s="19">
        <v>4837082.56</v>
      </c>
      <c r="F16" s="19">
        <v>5027927.7</v>
      </c>
      <c r="G16" s="19">
        <v>5098121.85</v>
      </c>
      <c r="H16" s="19">
        <v>5042349.05</v>
      </c>
      <c r="I16" s="19">
        <v>9193440.23</v>
      </c>
      <c r="J16" s="19">
        <v>5545176.31</v>
      </c>
      <c r="K16" s="19">
        <v>4770553.2</v>
      </c>
      <c r="L16" s="19">
        <v>4837876.39</v>
      </c>
      <c r="M16" s="19">
        <v>5015875.72</v>
      </c>
      <c r="N16" s="20">
        <f t="shared" si="0"/>
        <v>64265204.28</v>
      </c>
      <c r="O16" s="19">
        <v>64383600</v>
      </c>
      <c r="P16" s="17"/>
      <c r="Q16" s="17"/>
      <c r="R16" s="17"/>
    </row>
    <row r="17" spans="1:19" s="4" customFormat="1" ht="12.75" customHeight="1">
      <c r="A17" s="18" t="s">
        <v>27</v>
      </c>
      <c r="B17" s="19">
        <v>1660813.07</v>
      </c>
      <c r="C17" s="19">
        <v>1428156.62</v>
      </c>
      <c r="D17" s="19">
        <v>1628549.69</v>
      </c>
      <c r="E17" s="19">
        <v>1456375.94</v>
      </c>
      <c r="F17" s="19">
        <v>1488519.59</v>
      </c>
      <c r="G17" s="19">
        <v>1411950.09</v>
      </c>
      <c r="H17" s="19">
        <v>1252936.34</v>
      </c>
      <c r="I17" s="19">
        <v>1893113</v>
      </c>
      <c r="J17" s="19">
        <v>3742210.09</v>
      </c>
      <c r="K17" s="19">
        <v>8412931.42</v>
      </c>
      <c r="L17" s="19">
        <v>2599151.59</v>
      </c>
      <c r="M17" s="19">
        <v>1412822.45</v>
      </c>
      <c r="N17" s="20">
        <f t="shared" si="0"/>
        <v>28387529.89</v>
      </c>
      <c r="O17" s="19">
        <v>27569000</v>
      </c>
      <c r="P17" s="17"/>
      <c r="Q17" s="17"/>
      <c r="R17" s="17"/>
      <c r="S17" s="17"/>
    </row>
    <row r="18" spans="1:18" s="4" customFormat="1" ht="14.25" customHeight="1">
      <c r="A18" s="18" t="s">
        <v>28</v>
      </c>
      <c r="B18" s="19">
        <v>5088196.77</v>
      </c>
      <c r="C18" s="19">
        <v>5207232.66</v>
      </c>
      <c r="D18" s="19">
        <v>5234839.35</v>
      </c>
      <c r="E18" s="19">
        <f>5201085.46</f>
        <v>5201085.46</v>
      </c>
      <c r="F18" s="19">
        <v>5287235.11</v>
      </c>
      <c r="G18" s="19">
        <v>5211944.39</v>
      </c>
      <c r="H18" s="19">
        <v>5219755.71</v>
      </c>
      <c r="I18" s="19">
        <v>5935826.2</v>
      </c>
      <c r="J18" s="19">
        <v>7608765.85</v>
      </c>
      <c r="K18" s="19">
        <v>5551026.51</v>
      </c>
      <c r="L18" s="19">
        <v>5185064.5</v>
      </c>
      <c r="M18" s="19">
        <v>5488554.66</v>
      </c>
      <c r="N18" s="20">
        <f t="shared" si="0"/>
        <v>66219527.17</v>
      </c>
      <c r="O18" s="19">
        <v>71475000</v>
      </c>
      <c r="P18" s="17" t="s">
        <v>29</v>
      </c>
      <c r="Q18" s="17"/>
      <c r="R18" s="17"/>
    </row>
    <row r="19" spans="1:18" s="4" customFormat="1" ht="14.25" customHeight="1">
      <c r="A19" s="18" t="s">
        <v>30</v>
      </c>
      <c r="B19" s="22">
        <f>B20+B21</f>
        <v>6101090.039999999</v>
      </c>
      <c r="C19" s="22">
        <f>C20+C21</f>
        <v>3559070.88</v>
      </c>
      <c r="D19" s="22">
        <f>D20+D21</f>
        <v>5564869.94</v>
      </c>
      <c r="E19" s="22">
        <f>E20+E21</f>
        <v>6739782.46</v>
      </c>
      <c r="F19" s="22">
        <f>F20+F21</f>
        <v>5643036.17</v>
      </c>
      <c r="G19" s="22">
        <f>G20+G21</f>
        <v>7772863.94</v>
      </c>
      <c r="H19" s="22">
        <f>H20+H21</f>
        <v>3575610.22</v>
      </c>
      <c r="I19" s="22">
        <f>I20+I21</f>
        <v>6074687.73</v>
      </c>
      <c r="J19" s="22">
        <f>J20+J21</f>
        <v>7270758.06</v>
      </c>
      <c r="K19" s="22">
        <f>K20+K21</f>
        <v>4961963.32</v>
      </c>
      <c r="L19" s="22">
        <f>L20+L21</f>
        <v>7354791.82</v>
      </c>
      <c r="M19" s="22">
        <f>M20+M21</f>
        <v>5878185.21</v>
      </c>
      <c r="N19" s="22">
        <f>N20+N21</f>
        <v>70496709.78999999</v>
      </c>
      <c r="O19" s="23">
        <f>O20+O21</f>
        <v>52335618.31</v>
      </c>
      <c r="P19" s="17"/>
      <c r="Q19" s="17"/>
      <c r="R19" s="17"/>
    </row>
    <row r="20" spans="1:18" s="4" customFormat="1" ht="14.25" customHeight="1">
      <c r="A20" s="18" t="s">
        <v>31</v>
      </c>
      <c r="B20" s="19">
        <v>5918498.81</v>
      </c>
      <c r="C20" s="19">
        <v>3372120.63</v>
      </c>
      <c r="D20" s="19">
        <v>5372133.7</v>
      </c>
      <c r="E20" s="19">
        <v>6551005.91</v>
      </c>
      <c r="F20" s="19">
        <v>5448436.8</v>
      </c>
      <c r="G20" s="19">
        <v>7591651.08</v>
      </c>
      <c r="H20" s="19">
        <v>3394779.75</v>
      </c>
      <c r="I20" s="19">
        <v>5888827.29</v>
      </c>
      <c r="J20" s="19">
        <v>6912934.18</v>
      </c>
      <c r="K20" s="19">
        <v>4900258.37</v>
      </c>
      <c r="L20" s="19">
        <v>7066285.37</v>
      </c>
      <c r="M20" s="19">
        <v>5691057.47</v>
      </c>
      <c r="N20" s="20">
        <f aca="true" t="shared" si="1" ref="N20:N24">SUM(B20:M20)</f>
        <v>68107989.35999998</v>
      </c>
      <c r="O20" s="19">
        <v>49824218.31</v>
      </c>
      <c r="P20" s="17" t="s">
        <v>32</v>
      </c>
      <c r="Q20" s="17"/>
      <c r="R20" s="17"/>
    </row>
    <row r="21" spans="1:18" s="4" customFormat="1" ht="14.25" customHeight="1">
      <c r="A21" s="18" t="s">
        <v>33</v>
      </c>
      <c r="B21" s="19">
        <f>66166.01+116425.22</f>
        <v>182591.22999999998</v>
      </c>
      <c r="C21" s="19">
        <f>63845.33+123104.92</f>
        <v>186950.25</v>
      </c>
      <c r="D21" s="19">
        <f>65491.5+127244.74</f>
        <v>192736.24</v>
      </c>
      <c r="E21" s="19">
        <f>68410.2+120366.35</f>
        <v>188776.55</v>
      </c>
      <c r="F21" s="19">
        <f>71928.31+122671.06</f>
        <v>194599.37</v>
      </c>
      <c r="G21" s="19">
        <f>61026.55+120186.31</f>
        <v>181212.86</v>
      </c>
      <c r="H21" s="19">
        <f>59799.18+121031.29</f>
        <v>180830.47</v>
      </c>
      <c r="I21" s="19">
        <f>60455.26+125405.18</f>
        <v>185860.44</v>
      </c>
      <c r="J21" s="19">
        <f>65931.23+291892.65</f>
        <v>357823.88</v>
      </c>
      <c r="K21" s="19">
        <f>61704.95</f>
        <v>61704.95</v>
      </c>
      <c r="L21" s="19">
        <f>55495.12+233011.33</f>
        <v>288506.45</v>
      </c>
      <c r="M21" s="19">
        <f>72628.44+114499.3</f>
        <v>187127.74</v>
      </c>
      <c r="N21" s="20">
        <f t="shared" si="1"/>
        <v>2388720.43</v>
      </c>
      <c r="O21" s="19">
        <f>850000+1661400</f>
        <v>2511400</v>
      </c>
      <c r="P21" s="17" t="s">
        <v>34</v>
      </c>
      <c r="Q21" s="17"/>
      <c r="R21" s="17"/>
    </row>
    <row r="22" spans="1:18" s="4" customFormat="1" ht="14.25" customHeight="1">
      <c r="A22" s="18" t="s">
        <v>35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1"/>
        <v>0</v>
      </c>
      <c r="O22" s="19">
        <v>0</v>
      </c>
      <c r="P22" s="17"/>
      <c r="Q22" s="17"/>
      <c r="R22" s="17"/>
    </row>
    <row r="23" spans="1:18" s="4" customFormat="1" ht="14.25" customHeight="1">
      <c r="A23" s="18" t="s">
        <v>36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1"/>
        <v>0</v>
      </c>
      <c r="O23" s="19">
        <v>0</v>
      </c>
      <c r="P23" s="17"/>
      <c r="Q23" s="17"/>
      <c r="R23" s="17"/>
    </row>
    <row r="24" spans="1:18" s="4" customFormat="1" ht="14.25" customHeight="1">
      <c r="A24" s="18" t="s">
        <v>37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1"/>
        <v>0</v>
      </c>
      <c r="O24" s="19">
        <v>0</v>
      </c>
      <c r="P24" s="17"/>
      <c r="Q24" s="17"/>
      <c r="R24" s="17"/>
    </row>
    <row r="25" spans="1:18" s="25" customFormat="1" ht="14.25" customHeight="1">
      <c r="A25" s="18" t="s">
        <v>38</v>
      </c>
      <c r="B25" s="19">
        <f>B26+B27+B28+B29+B30+B31+B32</f>
        <v>51761376.92</v>
      </c>
      <c r="C25" s="19">
        <f>C26+C27+C28+C29+C30+C31+C32</f>
        <v>42413956.31</v>
      </c>
      <c r="D25" s="19">
        <f>D26+D27+D28+D29+D30+D31+D32</f>
        <v>41891940.94</v>
      </c>
      <c r="E25" s="19">
        <f>E26+E27+E28+E29+E30+E31+E32</f>
        <v>40571413.6</v>
      </c>
      <c r="F25" s="19">
        <f>F26+F27+F28+F29+F30+F31+F32</f>
        <v>34886506.79</v>
      </c>
      <c r="G25" s="19">
        <f>G26+G27+G28+G29+G30+G31+G32</f>
        <v>41225848.43</v>
      </c>
      <c r="H25" s="19">
        <f>H26+H27+H28+H29+H30+H31+H32</f>
        <v>36583306.440000005</v>
      </c>
      <c r="I25" s="19">
        <f>I26+I27+I28+I29+I30+I31+I32</f>
        <v>62491053.10999999</v>
      </c>
      <c r="J25" s="19">
        <f>J26+J27+J28+J29+J30+J31+J32</f>
        <v>56254025.97</v>
      </c>
      <c r="K25" s="19">
        <f>K26+K27+K28+K29+K30+K31+K32</f>
        <v>42820740.31999999</v>
      </c>
      <c r="L25" s="19">
        <f>L26+L27+L28+L29+L30+L31+L32</f>
        <v>38181979.93999999</v>
      </c>
      <c r="M25" s="19">
        <f>M26+M27+M28+M29+M30+M31+M32</f>
        <v>47203049.63</v>
      </c>
      <c r="N25" s="19">
        <f>N26+N27+N28+N29+N30+N31+N32</f>
        <v>536285198.4</v>
      </c>
      <c r="O25" s="19">
        <f>O26+O27+O28+O31+O32+O29+O30</f>
        <v>566806973.92</v>
      </c>
      <c r="P25" s="24"/>
      <c r="Q25" s="24"/>
      <c r="R25" s="24"/>
    </row>
    <row r="26" spans="1:33" s="25" customFormat="1" ht="14.25" customHeight="1">
      <c r="A26" s="18" t="s">
        <v>39</v>
      </c>
      <c r="B26" s="19">
        <v>9898292.05</v>
      </c>
      <c r="C26" s="19">
        <v>9261741.12</v>
      </c>
      <c r="D26" s="19">
        <f>7943133.57+4522587.25</f>
        <v>12465720.82</v>
      </c>
      <c r="E26" s="19">
        <v>9053354.43</v>
      </c>
      <c r="F26" s="19">
        <f>7512356.52+815869.27</f>
        <v>8328225.789999999</v>
      </c>
      <c r="G26" s="19">
        <f>7924025.12</f>
        <v>7924025.12</v>
      </c>
      <c r="H26" s="19">
        <f>9959057.12</f>
        <v>9959057.12</v>
      </c>
      <c r="I26" s="19">
        <f>10658544.97+4815832.78</f>
        <v>15474377.75</v>
      </c>
      <c r="J26" s="19">
        <v>10165715.8</v>
      </c>
      <c r="K26" s="19">
        <v>13407542.03</v>
      </c>
      <c r="L26" s="19">
        <v>8189069.55</v>
      </c>
      <c r="M26" s="19">
        <v>9362662.09</v>
      </c>
      <c r="N26" s="20">
        <f aca="true" t="shared" si="2" ref="N26:N33">SUM(B26:M26)</f>
        <v>123489783.66999999</v>
      </c>
      <c r="O26" s="19">
        <f>123295000+9505000</f>
        <v>132800000</v>
      </c>
      <c r="P26" s="24"/>
      <c r="Q26" s="24"/>
      <c r="R26" s="24"/>
      <c r="V26" s="26" t="s">
        <v>40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25" customFormat="1" ht="14.25" customHeight="1" outlineLevel="1">
      <c r="A27" s="18" t="s">
        <v>41</v>
      </c>
      <c r="B27" s="19">
        <v>13043508.09</v>
      </c>
      <c r="C27" s="19">
        <v>10368549.71</v>
      </c>
      <c r="D27" s="19">
        <v>10460589.91</v>
      </c>
      <c r="E27" s="19">
        <v>10861010.2</v>
      </c>
      <c r="F27" s="19">
        <v>10176578.23</v>
      </c>
      <c r="G27" s="19">
        <v>9903674.45</v>
      </c>
      <c r="H27" s="19">
        <v>9595280.44</v>
      </c>
      <c r="I27" s="19">
        <v>11665888.51</v>
      </c>
      <c r="J27" s="19">
        <v>10042693.48</v>
      </c>
      <c r="K27" s="19">
        <v>8239912.78</v>
      </c>
      <c r="L27" s="19">
        <v>8736988.51</v>
      </c>
      <c r="M27" s="19">
        <v>10854178.53</v>
      </c>
      <c r="N27" s="20">
        <f t="shared" si="2"/>
        <v>123948852.84000002</v>
      </c>
      <c r="O27" s="19">
        <v>136340000</v>
      </c>
      <c r="P27" s="24"/>
      <c r="Q27" s="24"/>
      <c r="R27" s="24"/>
      <c r="V27" s="27" t="s">
        <v>42</v>
      </c>
      <c r="W27" s="27" t="s">
        <v>43</v>
      </c>
      <c r="X27" s="27" t="s">
        <v>44</v>
      </c>
      <c r="Y27" s="27" t="s">
        <v>45</v>
      </c>
      <c r="Z27" s="27" t="s">
        <v>46</v>
      </c>
      <c r="AA27" s="27" t="s">
        <v>47</v>
      </c>
      <c r="AB27" s="27" t="s">
        <v>48</v>
      </c>
      <c r="AC27" s="27" t="s">
        <v>49</v>
      </c>
      <c r="AD27" s="27" t="s">
        <v>50</v>
      </c>
      <c r="AE27" s="27" t="s">
        <v>51</v>
      </c>
      <c r="AF27" s="27" t="s">
        <v>52</v>
      </c>
      <c r="AG27" s="27" t="s">
        <v>53</v>
      </c>
    </row>
    <row r="28" spans="1:33" s="25" customFormat="1" ht="14.25" customHeight="1">
      <c r="A28" s="18" t="s">
        <v>54</v>
      </c>
      <c r="B28" s="21">
        <v>7315553.29</v>
      </c>
      <c r="C28" s="21">
        <v>3621609.94</v>
      </c>
      <c r="D28" s="21">
        <v>2561301.35</v>
      </c>
      <c r="E28" s="21">
        <v>2042226.69</v>
      </c>
      <c r="F28" s="21">
        <v>1041582.95</v>
      </c>
      <c r="G28" s="21">
        <v>785253.72</v>
      </c>
      <c r="H28" s="21">
        <v>822155.78</v>
      </c>
      <c r="I28" s="21">
        <v>14055230.13</v>
      </c>
      <c r="J28" s="21">
        <v>15400549.03</v>
      </c>
      <c r="K28" s="21">
        <v>5016226.43</v>
      </c>
      <c r="L28" s="21">
        <v>5392370.23</v>
      </c>
      <c r="M28" s="21">
        <v>9776303.36</v>
      </c>
      <c r="N28" s="20">
        <f t="shared" si="2"/>
        <v>67830362.9</v>
      </c>
      <c r="O28" s="22">
        <v>68000000</v>
      </c>
      <c r="P28" s="24"/>
      <c r="Q28" s="24"/>
      <c r="R28" s="24"/>
      <c r="T28" s="28" t="s">
        <v>55</v>
      </c>
      <c r="U28" s="29"/>
      <c r="V28" s="30">
        <v>121280163.89</v>
      </c>
      <c r="W28" s="30">
        <v>110744445.09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5" customFormat="1" ht="14.25" customHeight="1">
      <c r="A29" s="18" t="s">
        <v>56</v>
      </c>
      <c r="B29" s="19">
        <v>11269.96</v>
      </c>
      <c r="C29" s="19">
        <v>10754.29</v>
      </c>
      <c r="D29" s="19">
        <v>4533.51</v>
      </c>
      <c r="E29" s="19">
        <v>24600.04</v>
      </c>
      <c r="F29" s="19">
        <v>249315.98</v>
      </c>
      <c r="G29" s="19">
        <v>1051744.31</v>
      </c>
      <c r="H29" s="19">
        <v>152151.21</v>
      </c>
      <c r="I29" s="19">
        <v>108474.51</v>
      </c>
      <c r="J29" s="19">
        <v>95553.78</v>
      </c>
      <c r="K29" s="19">
        <v>7181.86</v>
      </c>
      <c r="L29" s="19">
        <v>13937.22</v>
      </c>
      <c r="M29" s="19">
        <v>7021.49</v>
      </c>
      <c r="N29" s="20">
        <f t="shared" si="2"/>
        <v>1736538.1600000001</v>
      </c>
      <c r="O29" s="19">
        <v>1600000</v>
      </c>
      <c r="P29"/>
      <c r="Q29" s="24"/>
      <c r="R29" s="24"/>
      <c r="T29" s="28" t="s">
        <v>57</v>
      </c>
      <c r="U29" s="29"/>
      <c r="V29" s="30"/>
      <c r="W29" s="30"/>
      <c r="X29" s="31"/>
      <c r="Y29" s="31"/>
      <c r="Z29" s="32"/>
      <c r="AA29" s="31"/>
      <c r="AB29" s="31"/>
      <c r="AC29" s="24"/>
      <c r="AD29" s="24"/>
      <c r="AE29" s="24"/>
      <c r="AF29" s="24"/>
      <c r="AG29" s="24"/>
    </row>
    <row r="30" spans="1:33" s="25" customFormat="1" ht="14.25" customHeight="1">
      <c r="A30" s="18" t="s">
        <v>58</v>
      </c>
      <c r="B30" s="19">
        <v>90391.03</v>
      </c>
      <c r="C30" s="19">
        <v>83902.26</v>
      </c>
      <c r="D30" s="19">
        <v>101963.22</v>
      </c>
      <c r="E30" s="19">
        <v>71080.32</v>
      </c>
      <c r="F30" s="19">
        <v>107518.16</v>
      </c>
      <c r="G30" s="19">
        <v>115349.65</v>
      </c>
      <c r="H30" s="19">
        <v>80220.02</v>
      </c>
      <c r="I30" s="19">
        <v>103627.27</v>
      </c>
      <c r="J30" s="19">
        <v>128537.59</v>
      </c>
      <c r="K30" s="19">
        <v>69784.84</v>
      </c>
      <c r="L30" s="19">
        <v>87881.59</v>
      </c>
      <c r="M30" s="19">
        <v>103968.81</v>
      </c>
      <c r="N30" s="20">
        <f t="shared" si="2"/>
        <v>1144224.76</v>
      </c>
      <c r="O30" s="19">
        <v>1355000</v>
      </c>
      <c r="P30" s="24"/>
      <c r="Q30" s="24"/>
      <c r="R30" s="24"/>
      <c r="T30" s="29" t="s">
        <v>59</v>
      </c>
      <c r="U30" s="29"/>
      <c r="V30" s="33">
        <v>2290918.87</v>
      </c>
      <c r="W30" s="33">
        <v>952572.58</v>
      </c>
      <c r="X30"/>
      <c r="Y30"/>
      <c r="Z30"/>
      <c r="AA30"/>
      <c r="AB30"/>
      <c r="AC30"/>
      <c r="AD30"/>
      <c r="AE30"/>
      <c r="AF30"/>
      <c r="AG30"/>
    </row>
    <row r="31" spans="1:33" s="25" customFormat="1" ht="14.25" customHeight="1">
      <c r="A31" s="18" t="s">
        <v>60</v>
      </c>
      <c r="B31" s="19">
        <v>14761215.94</v>
      </c>
      <c r="C31" s="19">
        <v>11051482.45</v>
      </c>
      <c r="D31" s="19">
        <v>10474767.62</v>
      </c>
      <c r="E31" s="19">
        <v>11185139.91</v>
      </c>
      <c r="F31" s="19">
        <v>10050745.14</v>
      </c>
      <c r="G31" s="19">
        <v>10020803.05</v>
      </c>
      <c r="H31" s="19">
        <v>10500224.48</v>
      </c>
      <c r="I31" s="19">
        <v>12937582.72</v>
      </c>
      <c r="J31" s="19">
        <v>14428889.94</v>
      </c>
      <c r="K31" s="19">
        <v>10567403.26</v>
      </c>
      <c r="L31" s="19">
        <v>9634535.6</v>
      </c>
      <c r="M31" s="19">
        <v>11591508.82</v>
      </c>
      <c r="N31" s="20">
        <f t="shared" si="2"/>
        <v>137204298.93</v>
      </c>
      <c r="O31" s="19">
        <v>159100000</v>
      </c>
      <c r="P31" s="8"/>
      <c r="Q31" s="24"/>
      <c r="R31" s="24"/>
      <c r="T31" s="28" t="s">
        <v>61</v>
      </c>
      <c r="U31" s="29"/>
      <c r="V31" s="33">
        <v>21573798.79</v>
      </c>
      <c r="W31" s="30">
        <v>11400568.32</v>
      </c>
      <c r="X31" s="24"/>
      <c r="Y31" s="31"/>
      <c r="Z31" s="31"/>
      <c r="AA31" s="24"/>
      <c r="AB31" s="24"/>
      <c r="AC31" s="24"/>
      <c r="AD31" s="24"/>
      <c r="AE31" s="24"/>
      <c r="AF31" s="24"/>
      <c r="AG31" s="24"/>
    </row>
    <row r="32" spans="1:33" s="25" customFormat="1" ht="14.25" customHeight="1">
      <c r="A32" s="18" t="s">
        <v>62</v>
      </c>
      <c r="B32" s="19">
        <f>51761376.92-B26-B27-B28-B29-B30-B31</f>
        <v>6641146.560000004</v>
      </c>
      <c r="C32" s="19">
        <f>42413956.31-C26-C27-C28-C29-C30-C31</f>
        <v>8015916.540000003</v>
      </c>
      <c r="D32" s="19">
        <f>41891940.94-D26-D27-D28-D29-D30-D31</f>
        <v>5823064.509999998</v>
      </c>
      <c r="E32" s="19">
        <f>40571413.6-E26-E27-E28-E29-E30-E31</f>
        <v>7334002.010000002</v>
      </c>
      <c r="F32" s="19">
        <f>34886506.79-F26-F27-F28-F29-F30-F31</f>
        <v>4932540.539999999</v>
      </c>
      <c r="G32" s="19">
        <f>41225848.43-G26-G27-G28-G29-G30-G31</f>
        <v>11424998.130000003</v>
      </c>
      <c r="H32" s="19">
        <f>36583306.44-H26-H27-H28-H29-H30-H31</f>
        <v>5474217.390000002</v>
      </c>
      <c r="I32" s="19">
        <f>62513599.66-I26-I27-I28-I29-I30-I31-12742.05-9804.5</f>
        <v>8145872.219999994</v>
      </c>
      <c r="J32" s="19">
        <f>56254025.97-J26-J27-J28-J29-J30-J31</f>
        <v>5992086.349999996</v>
      </c>
      <c r="K32" s="19">
        <f>42820740.32-K26-K27-K28-K29-K30-K31</f>
        <v>5512689.119999999</v>
      </c>
      <c r="L32" s="19">
        <f>38181979.94-L26-L27-L28-L29-L30-L31</f>
        <v>6127197.239999995</v>
      </c>
      <c r="M32" s="19">
        <f>47203049.63-M26-M27-M28-M29-M30-M31</f>
        <v>5507406.530000009</v>
      </c>
      <c r="N32" s="20">
        <f t="shared" si="2"/>
        <v>80931137.13999999</v>
      </c>
      <c r="O32" s="19">
        <f>566806973.92-O26-O27-O28-O29-O30-O31</f>
        <v>67611973.91999996</v>
      </c>
      <c r="P32"/>
      <c r="Q32"/>
      <c r="R32" s="17"/>
      <c r="T32" s="28" t="s">
        <v>63</v>
      </c>
      <c r="U32" s="29"/>
      <c r="V32" s="30">
        <f>11112445.83-1325068.44-337209.93-29757.07-12623.4</f>
        <v>9407786.99</v>
      </c>
      <c r="W32" s="30">
        <f>6908056.84-1324644.77-259784.09-12757.25</f>
        <v>5310870.73</v>
      </c>
      <c r="X32" s="30"/>
      <c r="Y32" s="31"/>
      <c r="Z32" s="31"/>
      <c r="AA32" s="31"/>
      <c r="AB32" s="17"/>
      <c r="AC32" s="17"/>
      <c r="AD32" s="17"/>
      <c r="AE32" s="17"/>
      <c r="AF32" s="17"/>
      <c r="AG32" s="17"/>
    </row>
    <row r="33" spans="1:33" s="4" customFormat="1" ht="14.25" customHeight="1">
      <c r="A33" s="18" t="s">
        <v>64</v>
      </c>
      <c r="B33" s="19">
        <f>3610987.07-11220.42-299845.64</f>
        <v>3299921.01</v>
      </c>
      <c r="C33" s="19">
        <f>1507029.52-11254.89-284283.74</f>
        <v>1211490.8900000001</v>
      </c>
      <c r="D33" s="19">
        <f>1750457.6-11318.51-280812.9</f>
        <v>1458326.19</v>
      </c>
      <c r="E33" s="19">
        <f>3613530.93-11543.8-325358.24</f>
        <v>3276628.8900000006</v>
      </c>
      <c r="F33" s="19">
        <f>1290397.9-11913.86-314691.97</f>
        <v>963792.0699999998</v>
      </c>
      <c r="G33" s="19">
        <f>1547743.31-12099-305844.75</f>
        <v>1229799.56</v>
      </c>
      <c r="H33" s="19">
        <f>1415212.2-12307.2-300390.28</f>
        <v>1102514.72</v>
      </c>
      <c r="I33" s="19">
        <f>2453324.41-12471.83-336152.09</f>
        <v>2104700.49</v>
      </c>
      <c r="J33" s="19">
        <v>2151073.21</v>
      </c>
      <c r="K33" s="19">
        <v>1423866.71</v>
      </c>
      <c r="L33" s="19">
        <v>1502966.61</v>
      </c>
      <c r="M33" s="19">
        <v>1814039.08</v>
      </c>
      <c r="N33" s="20">
        <f t="shared" si="2"/>
        <v>21539119.43</v>
      </c>
      <c r="O33" s="19">
        <v>14609400</v>
      </c>
      <c r="P33" s="34" t="s">
        <v>65</v>
      </c>
      <c r="Q33" s="17"/>
      <c r="R33" s="17"/>
      <c r="T33" s="29"/>
      <c r="U33" s="29"/>
      <c r="V33" s="35">
        <f>V28-V29-V30-V31-V32</f>
        <v>88007659.24</v>
      </c>
      <c r="W33" s="35">
        <f>W28-W29-W30-W31-W32</f>
        <v>93080433.46</v>
      </c>
      <c r="X33" s="35">
        <f>X28-X29-X30-X31-X32</f>
        <v>0</v>
      </c>
      <c r="Y33" s="35">
        <f>Y28-Y29-Y30-Y31-Y32</f>
        <v>0</v>
      </c>
      <c r="Z33" s="35">
        <f>Z28-Z29-Z30-Z31-Z32</f>
        <v>0</v>
      </c>
      <c r="AA33" s="35">
        <f>AA28-AA29-AA30-AA31-AA32</f>
        <v>0</v>
      </c>
      <c r="AB33" s="35">
        <f>AB28-AB29-AB30-AB31-AB32</f>
        <v>0</v>
      </c>
      <c r="AC33" s="35">
        <f>AC28-AC29-AC30-AC31-AC32</f>
        <v>0</v>
      </c>
      <c r="AD33" s="35">
        <f>AD28-AD29-AD30-AD31-AD32</f>
        <v>0</v>
      </c>
      <c r="AE33" s="35">
        <f>AE28-AE29-AE30-AE31-AE32</f>
        <v>0</v>
      </c>
      <c r="AF33" s="35">
        <f>AF28-AF29-AF30-AF31-AF32</f>
        <v>0</v>
      </c>
      <c r="AG33" s="35">
        <f>AG28-AG29-AG30-AG31-AG32</f>
        <v>0</v>
      </c>
    </row>
    <row r="34" spans="1:33" s="4" customFormat="1" ht="14.25" customHeight="1">
      <c r="A34" s="36" t="s">
        <v>66</v>
      </c>
      <c r="B34" s="37">
        <f>B35+B36+B37+B38</f>
        <v>13420760.02</v>
      </c>
      <c r="C34" s="37">
        <f>C35+C36+C37+C38</f>
        <v>9592432.72</v>
      </c>
      <c r="D34" s="37">
        <f>D35+D36+D37+D38</f>
        <v>11288962.68</v>
      </c>
      <c r="E34" s="37">
        <f>E35+E36+E37+E38</f>
        <v>13820887.04</v>
      </c>
      <c r="F34" s="37">
        <f>F35+F36+F37+F38</f>
        <v>10822879.85</v>
      </c>
      <c r="G34" s="37">
        <f>G35+G36+G37+G38</f>
        <v>13285104.42</v>
      </c>
      <c r="H34" s="37">
        <f>H35+H36+H37+H38</f>
        <v>9161096.59</v>
      </c>
      <c r="I34" s="37">
        <f>I35+I36+I37+I38</f>
        <v>15865163.739999998</v>
      </c>
      <c r="J34" s="37">
        <f>J35+J36+J37+J38</f>
        <v>16574396.86</v>
      </c>
      <c r="K34" s="37">
        <f>K35+K36+K37+K38</f>
        <v>10659000.280000001</v>
      </c>
      <c r="L34" s="37">
        <f>L35+L36+L37+L38</f>
        <v>11035999.98</v>
      </c>
      <c r="M34" s="37">
        <f>M35+M36+M37+M38</f>
        <v>12334346.81</v>
      </c>
      <c r="N34" s="37">
        <f>N35+N36+N37+N38</f>
        <v>147861030.99</v>
      </c>
      <c r="O34" s="16">
        <f>O35+O36+O37+O38</f>
        <v>135591000</v>
      </c>
      <c r="P34" s="17"/>
      <c r="Q34" s="17"/>
      <c r="R34" s="17"/>
      <c r="T34"/>
      <c r="U34"/>
      <c r="V34" s="35">
        <f>J39</f>
        <v>88007659.24</v>
      </c>
      <c r="W34" s="35">
        <f>K39</f>
        <v>93080433.46</v>
      </c>
      <c r="X34" s="35" t="e">
        <f>#REF!</f>
        <v>#REF!</v>
      </c>
      <c r="Y34" s="35" t="e">
        <f>#REF!</f>
        <v>#REF!</v>
      </c>
      <c r="Z34" s="35">
        <f>B39</f>
        <v>73052519.18</v>
      </c>
      <c r="AA34" s="35">
        <f>C39</f>
        <v>64058876.63000001</v>
      </c>
      <c r="AB34" s="35">
        <f>D39</f>
        <v>64068921.74999999</v>
      </c>
      <c r="AC34" s="35">
        <f>E39</f>
        <v>64020119.65000001</v>
      </c>
      <c r="AD34" s="35">
        <f>F39</f>
        <v>58280296.98999999</v>
      </c>
      <c r="AE34" s="35">
        <f>G39</f>
        <v>64192411.82000001</v>
      </c>
      <c r="AF34" s="35">
        <f>H39</f>
        <v>58590455.79000001</v>
      </c>
      <c r="AG34" s="35">
        <f>I39</f>
        <v>89251564.37</v>
      </c>
    </row>
    <row r="35" spans="1:33" s="4" customFormat="1" ht="14.25" customHeight="1">
      <c r="A35" s="38" t="s">
        <v>67</v>
      </c>
      <c r="B35" s="39">
        <f>2854700.34+1255088.7</f>
        <v>4109789.04</v>
      </c>
      <c r="C35" s="39">
        <f>3060139.42+1255635.92</f>
        <v>4315775.34</v>
      </c>
      <c r="D35" s="39">
        <f>3132168.38+1251605.07</f>
        <v>4383773.45</v>
      </c>
      <c r="E35" s="39">
        <f>2991134.09+1247586.79</f>
        <v>4238720.88</v>
      </c>
      <c r="F35" s="39">
        <f>3090405.69+1243165.61</f>
        <v>4333571.3</v>
      </c>
      <c r="G35" s="39">
        <f>3030934.3+1241450.77</f>
        <v>4272385.07</v>
      </c>
      <c r="H35" s="39">
        <f>3048856.57+1244506.44</f>
        <v>4293363.01</v>
      </c>
      <c r="I35" s="39">
        <f>3660903.72+1342100.62</f>
        <v>5003004.34</v>
      </c>
      <c r="J35" s="39">
        <v>5209138.95</v>
      </c>
      <c r="K35" s="39">
        <v>2854192.67</v>
      </c>
      <c r="L35" s="39">
        <v>2818532.63</v>
      </c>
      <c r="M35" s="39">
        <v>2916906.24</v>
      </c>
      <c r="N35" s="20">
        <f aca="true" t="shared" si="3" ref="N35:N38">SUM(B35:M35)</f>
        <v>48749152.92</v>
      </c>
      <c r="O35" s="20">
        <v>43007000</v>
      </c>
      <c r="P35" s="34" t="s">
        <v>68</v>
      </c>
      <c r="Q35" s="17"/>
      <c r="R35" s="17"/>
      <c r="T35"/>
      <c r="U35"/>
      <c r="V35" s="35">
        <f>V34-V33</f>
        <v>0</v>
      </c>
      <c r="W35" s="35">
        <f>W34-W33</f>
        <v>0</v>
      </c>
      <c r="X35" s="35" t="e">
        <f>X34-X33</f>
        <v>#REF!</v>
      </c>
      <c r="Y35" s="35" t="e">
        <f>Y34-Y33</f>
        <v>#REF!</v>
      </c>
      <c r="Z35" s="35">
        <f>Z34-Z33</f>
        <v>73052519.18</v>
      </c>
      <c r="AA35" s="35">
        <f>AA34-AA33</f>
        <v>64058876.63000001</v>
      </c>
      <c r="AB35" s="35">
        <f>AB34-AB33</f>
        <v>64068921.74999999</v>
      </c>
      <c r="AC35" s="35">
        <f>AC34-AC33</f>
        <v>64020119.65000001</v>
      </c>
      <c r="AD35" s="35">
        <f>AD34-AD33</f>
        <v>58280296.98999999</v>
      </c>
      <c r="AE35" s="35">
        <f>AE34-AE33</f>
        <v>64192411.82000001</v>
      </c>
      <c r="AF35" s="35">
        <f>AF34-AF33</f>
        <v>58590455.79000001</v>
      </c>
      <c r="AG35" s="40">
        <f>AG34-AG33</f>
        <v>89251564.37</v>
      </c>
    </row>
    <row r="36" spans="1:31" s="4" customFormat="1" ht="12.75" customHeight="1">
      <c r="A36" s="41" t="s">
        <v>69</v>
      </c>
      <c r="B36" s="19">
        <f>3179.16+500562.19</f>
        <v>503741.35</v>
      </c>
      <c r="C36" s="19">
        <f>3841.8+411496.56</f>
        <v>415338.36</v>
      </c>
      <c r="D36" s="19">
        <f>3351.04+495749.39</f>
        <v>499100.43</v>
      </c>
      <c r="E36" s="19">
        <f>30884.47+2240718.99</f>
        <v>2271603.4600000004</v>
      </c>
      <c r="F36" s="19">
        <f>6820.88+490401.17</f>
        <v>497222.05</v>
      </c>
      <c r="G36" s="19">
        <f>5131.28+669025.32</f>
        <v>674156.6</v>
      </c>
      <c r="H36" s="19">
        <f>5131.28+530125.65</f>
        <v>535256.93</v>
      </c>
      <c r="I36" s="19">
        <f>7765.5+950898.52</f>
        <v>958664.02</v>
      </c>
      <c r="J36" s="19">
        <v>596350.84</v>
      </c>
      <c r="K36" s="19">
        <v>468706.94</v>
      </c>
      <c r="L36" s="19">
        <v>437268.23</v>
      </c>
      <c r="M36" s="19">
        <v>558632.63</v>
      </c>
      <c r="N36" s="20">
        <f t="shared" si="3"/>
        <v>8416041.84</v>
      </c>
      <c r="O36" s="19">
        <v>6466000</v>
      </c>
      <c r="P36" s="34" t="s">
        <v>70</v>
      </c>
      <c r="Q36" s="34"/>
      <c r="R36" s="34"/>
      <c r="T36"/>
      <c r="U36"/>
      <c r="V36" s="42" t="s">
        <v>71</v>
      </c>
      <c r="W36" s="42" t="s">
        <v>72</v>
      </c>
      <c r="X36"/>
      <c r="Y36"/>
      <c r="Z36"/>
      <c r="AA36"/>
      <c r="AB36"/>
      <c r="AC36"/>
      <c r="AD36"/>
      <c r="AE36"/>
    </row>
    <row r="37" spans="1:20" s="4" customFormat="1" ht="12.75" customHeight="1">
      <c r="A37" s="41" t="s">
        <v>73</v>
      </c>
      <c r="B37" s="19">
        <v>2735426.8</v>
      </c>
      <c r="C37" s="19">
        <v>192007.69</v>
      </c>
      <c r="D37" s="19">
        <v>2191784.5</v>
      </c>
      <c r="E37" s="19">
        <v>2900108.4</v>
      </c>
      <c r="F37" s="19">
        <v>2174616.16</v>
      </c>
      <c r="G37" s="19">
        <v>4382553.32</v>
      </c>
      <c r="H37" s="19">
        <v>210703.75</v>
      </c>
      <c r="I37" s="19">
        <v>2585142.36</v>
      </c>
      <c r="J37" s="19">
        <v>3602297.2</v>
      </c>
      <c r="K37" s="19">
        <v>1987971.12</v>
      </c>
      <c r="L37" s="19">
        <v>3296149.67</v>
      </c>
      <c r="M37" s="19">
        <v>2837981.08</v>
      </c>
      <c r="N37" s="20">
        <f t="shared" si="3"/>
        <v>29096742.05</v>
      </c>
      <c r="O37" s="19">
        <v>20000000</v>
      </c>
      <c r="P37" s="43" t="s">
        <v>74</v>
      </c>
      <c r="Q37" s="34"/>
      <c r="R37" s="34"/>
      <c r="S37" s="44"/>
      <c r="T37" s="17"/>
    </row>
    <row r="38" spans="1:25" s="4" customFormat="1" ht="12.75" customHeight="1">
      <c r="A38" s="18" t="s">
        <v>75</v>
      </c>
      <c r="B38" s="19">
        <v>6071802.83</v>
      </c>
      <c r="C38" s="19">
        <v>4669311.33</v>
      </c>
      <c r="D38" s="19">
        <v>4214304.3</v>
      </c>
      <c r="E38" s="19">
        <v>4410454.3</v>
      </c>
      <c r="F38" s="19">
        <v>3817470.34</v>
      </c>
      <c r="G38" s="19">
        <v>3956009.43</v>
      </c>
      <c r="H38" s="19">
        <v>4121772.9</v>
      </c>
      <c r="I38" s="19">
        <v>7318353.02</v>
      </c>
      <c r="J38" s="19">
        <v>7166609.87</v>
      </c>
      <c r="K38" s="19">
        <v>5348129.55</v>
      </c>
      <c r="L38" s="19">
        <v>4484049.45</v>
      </c>
      <c r="M38" s="19">
        <v>6020826.86</v>
      </c>
      <c r="N38" s="20">
        <f t="shared" si="3"/>
        <v>61599094.17999999</v>
      </c>
      <c r="O38" s="19">
        <v>66118000</v>
      </c>
      <c r="P38" s="17"/>
      <c r="Q38" s="45"/>
      <c r="R38"/>
      <c r="S38"/>
      <c r="T38"/>
      <c r="U38"/>
      <c r="Y38" s="35"/>
    </row>
    <row r="39" spans="1:25" s="4" customFormat="1" ht="12.75">
      <c r="A39" s="46" t="s">
        <v>76</v>
      </c>
      <c r="B39" s="47">
        <f>B11-B34</f>
        <v>73052519.18</v>
      </c>
      <c r="C39" s="47">
        <f>C11-C34</f>
        <v>64058876.63000001</v>
      </c>
      <c r="D39" s="47">
        <f>D11-D34</f>
        <v>64068921.74999999</v>
      </c>
      <c r="E39" s="47">
        <f>E11-E34</f>
        <v>64020119.65000001</v>
      </c>
      <c r="F39" s="47">
        <f>F11-F34</f>
        <v>58280296.98999999</v>
      </c>
      <c r="G39" s="47">
        <f>G11-G34</f>
        <v>64192411.82000001</v>
      </c>
      <c r="H39" s="47">
        <f>H11-H34</f>
        <v>58590455.79000001</v>
      </c>
      <c r="I39" s="47">
        <f>I11-I34</f>
        <v>89251564.37</v>
      </c>
      <c r="J39" s="47">
        <f>J11-J34</f>
        <v>88007659.24</v>
      </c>
      <c r="K39" s="47">
        <f>K11-K34</f>
        <v>93080433.46</v>
      </c>
      <c r="L39" s="47">
        <f>L11-L34</f>
        <v>63881260.219999984</v>
      </c>
      <c r="M39" s="47">
        <f>M11-M34</f>
        <v>70085525.39999999</v>
      </c>
      <c r="N39" s="47">
        <f>N11-N34</f>
        <v>850570044.5</v>
      </c>
      <c r="O39" s="47">
        <f>O11-O34</f>
        <v>881900992.23</v>
      </c>
      <c r="P39" s="48" t="s">
        <v>77</v>
      </c>
      <c r="Q39"/>
      <c r="R39"/>
      <c r="S39"/>
      <c r="T39"/>
      <c r="U39"/>
      <c r="Y39" s="35"/>
    </row>
    <row r="40" spans="1:18" s="4" customFormat="1" ht="43.5" customHeight="1">
      <c r="A40" s="49" t="s">
        <v>78</v>
      </c>
      <c r="B40" s="16"/>
      <c r="C40" s="16">
        <f>137990+1989000+100000</f>
        <v>2226990</v>
      </c>
      <c r="D40" s="16">
        <f>150000+100000+100000</f>
        <v>350000</v>
      </c>
      <c r="E40" s="16">
        <v>0</v>
      </c>
      <c r="F40" s="16"/>
      <c r="G40" s="16"/>
      <c r="H40" s="16"/>
      <c r="I40" s="16"/>
      <c r="J40" s="50"/>
      <c r="K40" s="50"/>
      <c r="L40" s="16"/>
      <c r="M40" s="16"/>
      <c r="N40" s="16">
        <f>SUM(B40:M40)</f>
        <v>2576990</v>
      </c>
      <c r="O40" s="16"/>
      <c r="P40" s="51" t="s">
        <v>79</v>
      </c>
      <c r="Q40" s="52"/>
      <c r="R40" s="52"/>
    </row>
    <row r="41" spans="1:18" s="4" customFormat="1" ht="31.5" customHeight="1">
      <c r="A41" s="53" t="s">
        <v>80</v>
      </c>
      <c r="B41" s="16">
        <f>B39-B40</f>
        <v>73052519.18</v>
      </c>
      <c r="C41" s="16">
        <f>C39-C40</f>
        <v>61831886.63000001</v>
      </c>
      <c r="D41" s="16">
        <f>D39-D40</f>
        <v>63718921.74999999</v>
      </c>
      <c r="E41" s="16">
        <f>E39-E40</f>
        <v>64020119.65000001</v>
      </c>
      <c r="F41" s="16">
        <f>F39-F40</f>
        <v>58280296.98999999</v>
      </c>
      <c r="G41" s="16">
        <f>G39-G40</f>
        <v>64192411.82000001</v>
      </c>
      <c r="H41" s="16">
        <f>H39-H40</f>
        <v>58590455.79000001</v>
      </c>
      <c r="I41" s="16">
        <f>I39-I40</f>
        <v>89251564.37</v>
      </c>
      <c r="J41" s="16">
        <f>J39-J40</f>
        <v>88007659.24</v>
      </c>
      <c r="K41" s="16">
        <f>K39-K40</f>
        <v>93080433.46</v>
      </c>
      <c r="L41" s="16">
        <f>L39-L40</f>
        <v>63881260.219999984</v>
      </c>
      <c r="M41" s="16">
        <f>M39-M40</f>
        <v>70085525.39999999</v>
      </c>
      <c r="N41" s="16">
        <f>N39-N40</f>
        <v>847993054.5</v>
      </c>
      <c r="O41" s="16">
        <f>O39</f>
        <v>881900992.23</v>
      </c>
      <c r="Q41" s="54"/>
      <c r="R41" s="52"/>
    </row>
    <row r="42" spans="1:19" s="4" customFormat="1" ht="51" customHeight="1">
      <c r="A42" s="49" t="s">
        <v>81</v>
      </c>
      <c r="B42" s="16"/>
      <c r="C42" s="16"/>
      <c r="D42" s="16"/>
      <c r="E42" s="16"/>
      <c r="F42" s="16"/>
      <c r="G42" s="16"/>
      <c r="H42" s="16"/>
      <c r="I42" s="16"/>
      <c r="J42" s="16">
        <f>88536</f>
        <v>88536</v>
      </c>
      <c r="K42" s="16">
        <f>536424</f>
        <v>536424</v>
      </c>
      <c r="L42" s="55">
        <f>174468+268212</f>
        <v>442680</v>
      </c>
      <c r="M42" s="16">
        <f>85932+268212</f>
        <v>354144</v>
      </c>
      <c r="N42" s="16">
        <f>SUM(B42:M42)</f>
        <v>1421784</v>
      </c>
      <c r="O42" s="16">
        <v>3839616</v>
      </c>
      <c r="P42" s="4" t="s">
        <v>82</v>
      </c>
      <c r="Q42" s="34" t="s">
        <v>83</v>
      </c>
      <c r="R42" s="34"/>
      <c r="S42" s="44"/>
    </row>
    <row r="43" spans="1:18" s="4" customFormat="1" ht="32.25" customHeight="1">
      <c r="A43" s="53" t="s">
        <v>84</v>
      </c>
      <c r="B43" s="16">
        <f>B41-B42</f>
        <v>73052519.18</v>
      </c>
      <c r="C43" s="16">
        <f>C41-C42</f>
        <v>61831886.63000001</v>
      </c>
      <c r="D43" s="16">
        <f>D41-D42</f>
        <v>63718921.74999999</v>
      </c>
      <c r="E43" s="16">
        <f>E41-E42</f>
        <v>64020119.65000001</v>
      </c>
      <c r="F43" s="16">
        <f>F41-F42</f>
        <v>58280296.98999999</v>
      </c>
      <c r="G43" s="16">
        <f>G41-G42</f>
        <v>64192411.82000001</v>
      </c>
      <c r="H43" s="16">
        <f>H41-H42</f>
        <v>58590455.79000001</v>
      </c>
      <c r="I43" s="16">
        <f>I41-I42</f>
        <v>89251564.37</v>
      </c>
      <c r="J43" s="16">
        <f>J41-J42</f>
        <v>87919123.24</v>
      </c>
      <c r="K43" s="16">
        <f>K41-K42</f>
        <v>92544009.46</v>
      </c>
      <c r="L43" s="16">
        <f>L41-L42</f>
        <v>63438580.219999984</v>
      </c>
      <c r="M43" s="16">
        <f>M41-M42</f>
        <v>69731381.39999999</v>
      </c>
      <c r="N43" s="16">
        <f>N41-N42</f>
        <v>846571270.5</v>
      </c>
      <c r="O43" s="16">
        <f>O41-O42</f>
        <v>878061376.23</v>
      </c>
      <c r="Q43" s="52"/>
      <c r="R43" s="52"/>
    </row>
    <row r="44" spans="1:18" s="4" customFormat="1" ht="12.7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P44" s="4" t="s">
        <v>85</v>
      </c>
      <c r="Q44" s="52"/>
      <c r="R44" s="52"/>
    </row>
    <row r="45" spans="1:18" s="4" customFormat="1" ht="12.75" customHeight="1">
      <c r="A45" s="59" t="s">
        <v>86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Q45" s="52"/>
      <c r="R45" s="52"/>
    </row>
    <row r="46" spans="1:19" s="4" customFormat="1" ht="12.75" customHeight="1">
      <c r="A46" s="60" t="s">
        <v>87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P46" s="61" t="s">
        <v>88</v>
      </c>
      <c r="Q46" s="62"/>
      <c r="R46" s="62"/>
      <c r="S46" s="63"/>
    </row>
    <row r="47" spans="1:19" s="4" customFormat="1" ht="12.75" customHeight="1">
      <c r="A47" s="56"/>
      <c r="B47" s="1"/>
      <c r="C47" s="1"/>
      <c r="D47" s="1"/>
      <c r="E47" s="1"/>
      <c r="F47" s="1"/>
      <c r="G47" s="1"/>
      <c r="H47" s="2"/>
      <c r="I47" s="2"/>
      <c r="J47" s="2"/>
      <c r="K47" s="57"/>
      <c r="L47" s="57"/>
      <c r="M47" s="57"/>
      <c r="N47" s="58"/>
      <c r="P47" s="63" t="s">
        <v>89</v>
      </c>
      <c r="Q47" s="62"/>
      <c r="R47" s="62"/>
      <c r="S47" s="63"/>
    </row>
    <row r="48" spans="1:18" s="4" customFormat="1" ht="12.75" customHeight="1">
      <c r="A48"/>
      <c r="B48" s="1"/>
      <c r="C48" s="1"/>
      <c r="D48" s="1"/>
      <c r="E48" s="1"/>
      <c r="F48" s="1"/>
      <c r="G48" s="1"/>
      <c r="H48" s="2"/>
      <c r="I48" s="2"/>
      <c r="J48" s="2"/>
      <c r="K48" s="57"/>
      <c r="L48" s="57"/>
      <c r="M48" s="57"/>
      <c r="N48" s="58"/>
      <c r="Q48" s="52"/>
      <c r="R48" s="52"/>
    </row>
    <row r="49" spans="1:18" s="4" customFormat="1" ht="12.75" customHeight="1">
      <c r="A49" s="56"/>
      <c r="B49" s="64"/>
      <c r="C49" s="64"/>
      <c r="D49" s="64"/>
      <c r="E49" s="64"/>
      <c r="F49" s="64"/>
      <c r="G49" s="64"/>
      <c r="H49" s="65"/>
      <c r="I49" s="65"/>
      <c r="J49" s="65"/>
      <c r="K49" s="57"/>
      <c r="L49" s="57"/>
      <c r="M49" s="57"/>
      <c r="N49" s="58"/>
      <c r="Q49" s="52"/>
      <c r="R49" s="52"/>
    </row>
    <row r="50" spans="1:18" s="4" customFormat="1" ht="12.75" customHeight="1">
      <c r="A50" s="56"/>
      <c r="B50" s="8" t="s">
        <v>90</v>
      </c>
      <c r="C50" s="1"/>
      <c r="D50" s="1"/>
      <c r="E50" s="1"/>
      <c r="F50" s="1"/>
      <c r="G50" s="1"/>
      <c r="H50" s="1"/>
      <c r="I50" s="1"/>
      <c r="J50" s="2"/>
      <c r="K50" s="2"/>
      <c r="L50" s="57"/>
      <c r="M50" s="57"/>
      <c r="N50" s="58"/>
      <c r="Q50" s="52"/>
      <c r="R50" s="52"/>
    </row>
    <row r="51" spans="1:20" s="4" customFormat="1" ht="12.75" customHeight="1">
      <c r="A51" s="56"/>
      <c r="B51" s="8" t="s">
        <v>91</v>
      </c>
      <c r="C51" s="1"/>
      <c r="D51" s="1"/>
      <c r="E51" s="1"/>
      <c r="F51" s="1"/>
      <c r="G51" s="1"/>
      <c r="H51" s="1"/>
      <c r="I51" s="1"/>
      <c r="J51" s="2"/>
      <c r="K51" s="2"/>
      <c r="L51" s="57"/>
      <c r="M51" s="57"/>
      <c r="N51" s="58"/>
      <c r="P51" s="66" t="s">
        <v>92</v>
      </c>
      <c r="Q51" s="66"/>
      <c r="R51" s="66"/>
      <c r="S51" s="66"/>
      <c r="T51" s="66"/>
    </row>
    <row r="52" spans="1:20" ht="14.25">
      <c r="A52" s="67"/>
      <c r="B52" s="8" t="s">
        <v>93</v>
      </c>
      <c r="C52" s="64"/>
      <c r="D52" s="64"/>
      <c r="E52" s="64"/>
      <c r="F52" s="64"/>
      <c r="G52" s="64"/>
      <c r="H52" s="64"/>
      <c r="I52" s="64"/>
      <c r="J52" s="65"/>
      <c r="K52" s="65"/>
      <c r="L52" s="68"/>
      <c r="M52" s="68"/>
      <c r="N52" s="69"/>
      <c r="P52" s="70" t="s">
        <v>94</v>
      </c>
      <c r="Q52" s="70"/>
      <c r="R52" s="70"/>
      <c r="S52" s="70"/>
      <c r="T52" s="70"/>
    </row>
    <row r="53" spans="1:20" ht="15.75">
      <c r="A53" s="71"/>
      <c r="N53" s="69"/>
      <c r="O53" s="72"/>
      <c r="P53" s="70" t="s">
        <v>95</v>
      </c>
      <c r="Q53" s="70"/>
      <c r="R53" s="70"/>
      <c r="S53" s="73"/>
      <c r="T53" s="74"/>
    </row>
    <row r="54" spans="1:20" ht="14.25">
      <c r="A54"/>
      <c r="O54" s="2"/>
      <c r="P54" s="70" t="s">
        <v>96</v>
      </c>
      <c r="Q54" s="70"/>
      <c r="R54" s="70"/>
      <c r="S54" s="70"/>
      <c r="T54" s="74"/>
    </row>
    <row r="55" spans="1:20" ht="14.25">
      <c r="A55"/>
      <c r="O55" s="2"/>
      <c r="P55" s="70" t="s">
        <v>97</v>
      </c>
      <c r="Q55" s="70"/>
      <c r="R55" s="70"/>
      <c r="S55" s="70"/>
      <c r="T55" s="74"/>
    </row>
    <row r="56" spans="1:20" ht="15" customHeight="1">
      <c r="A5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 t="s">
        <v>98</v>
      </c>
      <c r="Q56" s="77"/>
      <c r="R56" s="77"/>
      <c r="S56" s="78"/>
      <c r="T56" s="74"/>
    </row>
    <row r="57" spans="1:16" ht="15.75">
      <c r="A57" s="75"/>
      <c r="O57" s="2"/>
      <c r="P57" s="2"/>
    </row>
    <row r="58" spans="15:16" ht="14.25">
      <c r="O58" s="2"/>
      <c r="P58" s="2"/>
    </row>
    <row r="63" spans="16:20" ht="14.25">
      <c r="P63" s="2" t="s">
        <v>99</v>
      </c>
      <c r="Q63" s="4"/>
      <c r="R63" s="4"/>
      <c r="S63" s="4"/>
      <c r="T63" s="4"/>
    </row>
    <row r="64" spans="16:20" ht="14.25">
      <c r="P64" s="2" t="s">
        <v>100</v>
      </c>
      <c r="Q64" s="4"/>
      <c r="R64" s="4"/>
      <c r="S64" s="4"/>
      <c r="T64" s="4"/>
    </row>
  </sheetData>
  <sheetProtection selectLockedCells="1" selectUnlockedCells="1"/>
  <mergeCells count="22">
    <mergeCell ref="A2:O2"/>
    <mergeCell ref="A3:O3"/>
    <mergeCell ref="A4:O4"/>
    <mergeCell ref="A5:O5"/>
    <mergeCell ref="A6:O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V26:AG26"/>
    <mergeCell ref="P51:T51"/>
  </mergeCells>
  <printOptions/>
  <pageMargins left="0.24305555555555555" right="0.041666666666666664" top="0.7875" bottom="0.7875" header="0.5118055555555555" footer="0.5118055555555555"/>
  <pageSetup horizontalDpi="300" verticalDpi="300" orientation="landscape" paperSize="9" scale="52"/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2022-09-14T16:06:34Z</cp:lastPrinted>
  <dcterms:modified xsi:type="dcterms:W3CDTF">2023-05-24T13:11:26Z</dcterms:modified>
  <cp:category/>
  <cp:version/>
  <cp:contentType/>
  <cp:contentStatus/>
  <cp:revision>74</cp:revision>
</cp:coreProperties>
</file>